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li\Downloads\"/>
    </mc:Choice>
  </mc:AlternateContent>
  <xr:revisionPtr revIDLastSave="0" documentId="13_ncr:1_{AFD50DA1-14DD-4ED2-8289-6B684530251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lanlægning" sheetId="1" r:id="rId1"/>
    <sheet name="Realiseret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2" l="1"/>
  <c r="B20" i="2"/>
  <c r="B22" i="2"/>
  <c r="B24" i="2"/>
  <c r="B21" i="2"/>
  <c r="B23" i="2"/>
  <c r="H25" i="2"/>
  <c r="G25" i="2"/>
  <c r="F25" i="2"/>
  <c r="E25" i="2"/>
  <c r="D25" i="2"/>
  <c r="B5" i="2"/>
  <c r="C52" i="1"/>
  <c r="I67" i="1"/>
  <c r="C53" i="1"/>
  <c r="E68" i="1"/>
  <c r="C57" i="1"/>
  <c r="D72" i="1"/>
  <c r="C60" i="1"/>
  <c r="I75" i="1"/>
  <c r="C61" i="1"/>
  <c r="E76" i="1"/>
  <c r="C75" i="1"/>
  <c r="F76" i="1"/>
  <c r="D75" i="1"/>
  <c r="C59" i="1"/>
  <c r="D74" i="1"/>
  <c r="C58" i="1"/>
  <c r="H73" i="1"/>
  <c r="F72" i="1"/>
  <c r="C56" i="1"/>
  <c r="D71" i="1"/>
  <c r="C55" i="1"/>
  <c r="I70" i="1"/>
  <c r="C54" i="1"/>
  <c r="G69" i="1"/>
  <c r="F68" i="1"/>
  <c r="D67" i="1"/>
  <c r="C51" i="1"/>
  <c r="D66" i="1"/>
  <c r="C50" i="1"/>
  <c r="H65" i="1"/>
  <c r="B14" i="1"/>
  <c r="B20" i="1"/>
  <c r="B19" i="1"/>
  <c r="B18" i="1"/>
  <c r="B17" i="1"/>
  <c r="B16" i="1"/>
  <c r="B14" i="2"/>
  <c r="B13" i="2"/>
  <c r="B12" i="2"/>
  <c r="B11" i="2"/>
  <c r="B10" i="2"/>
  <c r="C66" i="1"/>
  <c r="I74" i="1"/>
  <c r="F73" i="1"/>
  <c r="F69" i="1"/>
  <c r="I66" i="1"/>
  <c r="C67" i="1"/>
  <c r="H74" i="1"/>
  <c r="E73" i="1"/>
  <c r="H66" i="1"/>
  <c r="C73" i="1"/>
  <c r="D76" i="1"/>
  <c r="G74" i="1"/>
  <c r="E72" i="1"/>
  <c r="D68" i="1"/>
  <c r="G66" i="1"/>
  <c r="G65" i="1"/>
  <c r="C74" i="1"/>
  <c r="G73" i="1"/>
  <c r="F65" i="1"/>
  <c r="C65" i="1"/>
  <c r="E65" i="1"/>
  <c r="C68" i="1"/>
  <c r="C76" i="1"/>
  <c r="H75" i="1"/>
  <c r="F74" i="1"/>
  <c r="D73" i="1"/>
  <c r="H71" i="1"/>
  <c r="F70" i="1"/>
  <c r="D69" i="1"/>
  <c r="H67" i="1"/>
  <c r="F66" i="1"/>
  <c r="D65" i="1"/>
  <c r="C69" i="1"/>
  <c r="I76" i="1"/>
  <c r="G75" i="1"/>
  <c r="E74" i="1"/>
  <c r="I72" i="1"/>
  <c r="G71" i="1"/>
  <c r="E70" i="1"/>
  <c r="I68" i="1"/>
  <c r="G67" i="1"/>
  <c r="E66" i="1"/>
  <c r="E69" i="1"/>
  <c r="B15" i="1"/>
  <c r="E21" i="1"/>
  <c r="C70" i="1"/>
  <c r="H76" i="1"/>
  <c r="F75" i="1"/>
  <c r="H72" i="1"/>
  <c r="F71" i="1"/>
  <c r="D70" i="1"/>
  <c r="H68" i="1"/>
  <c r="F67" i="1"/>
  <c r="H70" i="1"/>
  <c r="G70" i="1"/>
  <c r="I25" i="2"/>
  <c r="C71" i="1"/>
  <c r="G76" i="1"/>
  <c r="E75" i="1"/>
  <c r="J75" i="1"/>
  <c r="K75" i="1"/>
  <c r="L75" i="1"/>
  <c r="I73" i="1"/>
  <c r="J73" i="1"/>
  <c r="K73" i="1"/>
  <c r="L73" i="1"/>
  <c r="G72" i="1"/>
  <c r="E71" i="1"/>
  <c r="I69" i="1"/>
  <c r="G68" i="1"/>
  <c r="E67" i="1"/>
  <c r="J67" i="1"/>
  <c r="K67" i="1"/>
  <c r="L67" i="1"/>
  <c r="I65" i="1"/>
  <c r="I71" i="1"/>
  <c r="C72" i="1"/>
  <c r="H69" i="1"/>
  <c r="I21" i="1"/>
  <c r="H21" i="1"/>
  <c r="J66" i="1"/>
  <c r="K66" i="1"/>
  <c r="L66" i="1"/>
  <c r="J69" i="1"/>
  <c r="K69" i="1"/>
  <c r="L69" i="1"/>
  <c r="J74" i="1"/>
  <c r="K74" i="1"/>
  <c r="L74" i="1"/>
  <c r="J71" i="1"/>
  <c r="K71" i="1"/>
  <c r="L71" i="1"/>
  <c r="G21" i="1"/>
  <c r="C21" i="1"/>
  <c r="J76" i="1"/>
  <c r="K76" i="1"/>
  <c r="L76" i="1"/>
  <c r="J70" i="1"/>
  <c r="K70" i="1"/>
  <c r="L70" i="1"/>
  <c r="J68" i="1"/>
  <c r="K68" i="1"/>
  <c r="L68" i="1"/>
  <c r="D21" i="1"/>
  <c r="F21" i="1"/>
  <c r="J72" i="1"/>
  <c r="K72" i="1"/>
  <c r="L72" i="1"/>
  <c r="B7" i="2"/>
  <c r="B6" i="2"/>
  <c r="B17" i="2"/>
  <c r="I35" i="2"/>
  <c r="H35" i="2"/>
  <c r="G35" i="2"/>
  <c r="F35" i="2"/>
  <c r="E35" i="2"/>
  <c r="D35" i="2"/>
  <c r="C35" i="2"/>
  <c r="B9" i="2"/>
  <c r="D78" i="1"/>
  <c r="D5" i="1"/>
  <c r="J65" i="1"/>
  <c r="K65" i="1"/>
  <c r="H26" i="2"/>
  <c r="B15" i="2"/>
  <c r="B8" i="2"/>
  <c r="F78" i="1"/>
  <c r="F5" i="1"/>
  <c r="E78" i="1"/>
  <c r="E5" i="1"/>
  <c r="H78" i="1"/>
  <c r="H5" i="1"/>
  <c r="I78" i="1"/>
  <c r="I5" i="1"/>
  <c r="G78" i="1"/>
  <c r="G5" i="1"/>
  <c r="C78" i="1"/>
  <c r="C5" i="1"/>
  <c r="J35" i="2"/>
  <c r="B30" i="2"/>
  <c r="I26" i="2"/>
  <c r="F26" i="2"/>
  <c r="G26" i="2"/>
  <c r="D26" i="2"/>
  <c r="E26" i="2"/>
  <c r="I22" i="1"/>
  <c r="J78" i="1"/>
  <c r="B25" i="2"/>
  <c r="C26" i="2"/>
  <c r="K78" i="1"/>
  <c r="B7" i="1"/>
  <c r="B11" i="1"/>
  <c r="L65" i="1"/>
  <c r="B6" i="1"/>
  <c r="B5" i="1"/>
  <c r="B25" i="1"/>
  <c r="B22" i="1"/>
  <c r="J21" i="1"/>
  <c r="B26" i="2"/>
  <c r="B31" i="2"/>
  <c r="D22" i="1"/>
  <c r="F22" i="1"/>
  <c r="E22" i="1"/>
  <c r="G22" i="1"/>
  <c r="H22" i="1"/>
  <c r="B29" i="2"/>
  <c r="J22" i="1"/>
  <c r="L78" i="1"/>
  <c r="B9" i="1"/>
  <c r="B12" i="1"/>
  <c r="C22" i="1"/>
  <c r="B27" i="1"/>
  <c r="B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Skal det ikke være uden moms??</t>
        </r>
      </text>
    </comment>
  </commentList>
</comments>
</file>

<file path=xl/sharedStrings.xml><?xml version="1.0" encoding="utf-8"?>
<sst xmlns="http://schemas.openxmlformats.org/spreadsheetml/2006/main" count="135" uniqueCount="79">
  <si>
    <t>Mandag</t>
  </si>
  <si>
    <t>Tirsdag</t>
  </si>
  <si>
    <t>Onsdag</t>
  </si>
  <si>
    <t>Torsdag</t>
  </si>
  <si>
    <t>Fredag</t>
  </si>
  <si>
    <t>Lørdag</t>
  </si>
  <si>
    <t>Søndag</t>
  </si>
  <si>
    <t>Resultat</t>
  </si>
  <si>
    <t>Omsætning i alt</t>
  </si>
  <si>
    <t>I alt</t>
  </si>
  <si>
    <t>Varekøb i alt</t>
  </si>
  <si>
    <t>Timelønnet personale/løn/antal timer:</t>
  </si>
  <si>
    <t>Timeløn:</t>
  </si>
  <si>
    <t>Lønprocent, timelønnede</t>
  </si>
  <si>
    <t>Vareforbrug procent/drikkevarer</t>
  </si>
  <si>
    <t>Lønprocent, i alt</t>
  </si>
  <si>
    <t>Bruttoavance, i alt</t>
  </si>
  <si>
    <t>Uge nr.</t>
  </si>
  <si>
    <t>Kommentarer:</t>
  </si>
  <si>
    <t>Timelønnet tjenere</t>
  </si>
  <si>
    <t>Vareforbrug, drikkevarer, beregnet</t>
  </si>
  <si>
    <t>Faste lønninger, tastes</t>
  </si>
  <si>
    <t>+/- timer i 'banken' for ugen</t>
  </si>
  <si>
    <t>Til notering af forventet antal gæster og omsætning for kommende uge:</t>
  </si>
  <si>
    <t>Morgenmad</t>
  </si>
  <si>
    <t>Formiddagskaffe</t>
  </si>
  <si>
    <t>Lunch</t>
  </si>
  <si>
    <t>PRIS PR. ENHED</t>
  </si>
  <si>
    <t>OMSÆTNING</t>
  </si>
  <si>
    <t>i alt</t>
  </si>
  <si>
    <t>ANTAL - TASTES</t>
  </si>
  <si>
    <t>svarende til, i procent af oms</t>
  </si>
  <si>
    <t>Lønprocent, timelønnede, MAX</t>
  </si>
  <si>
    <t>I alt, timelønnede, MAX</t>
  </si>
  <si>
    <t>VAGTPLAN</t>
  </si>
  <si>
    <t>Heraf drikkevarer</t>
  </si>
  <si>
    <t>Heraf madvarer</t>
  </si>
  <si>
    <t>Vareforbrug køkken</t>
  </si>
  <si>
    <t>PLANLÆGNING</t>
  </si>
  <si>
    <t>REALISERET</t>
  </si>
  <si>
    <t xml:space="preserve">FORDELING </t>
  </si>
  <si>
    <t>mad</t>
  </si>
  <si>
    <t>drikke</t>
  </si>
  <si>
    <t>fordeling</t>
  </si>
  <si>
    <t>Vareforbrug drikkevarer</t>
  </si>
  <si>
    <t>svarende til:</t>
  </si>
  <si>
    <t>Vareforbrug madvarer</t>
  </si>
  <si>
    <t>svarende til et MAX varekøb:</t>
  </si>
  <si>
    <t>Estimeret bruttoavance for ugen</t>
  </si>
  <si>
    <t>Resultat, forventet</t>
  </si>
  <si>
    <t>SUM, svarende til vagtplan</t>
  </si>
  <si>
    <t>Gennemsnitlig salg af drikkevarer</t>
  </si>
  <si>
    <t>Faste lønninger, køkken</t>
  </si>
  <si>
    <t>Faste lønninger, tjenere</t>
  </si>
  <si>
    <t>Lønprocent mål, i alt</t>
  </si>
  <si>
    <t>Hørkram</t>
  </si>
  <si>
    <t>Kongsbak</t>
  </si>
  <si>
    <t>Gilleleje fisk</t>
  </si>
  <si>
    <t>Kalu</t>
  </si>
  <si>
    <t>Condi</t>
  </si>
  <si>
    <t>Bager</t>
  </si>
  <si>
    <t>Timelønnet personale:</t>
  </si>
  <si>
    <t>Køkkenmedhjælp 1</t>
  </si>
  <si>
    <t>Køkkenmedhjælp 2</t>
  </si>
  <si>
    <t>Køkkenmedhjælp 3</t>
  </si>
  <si>
    <t>Opvask køkken</t>
  </si>
  <si>
    <t>Opvask restaurant</t>
  </si>
  <si>
    <t>Opvask Køkken</t>
  </si>
  <si>
    <t>Opvask Restaurant</t>
  </si>
  <si>
    <t>Sodavand</t>
  </si>
  <si>
    <t>Eftermiddagskaffe</t>
  </si>
  <si>
    <t>Dinner 2</t>
  </si>
  <si>
    <t>Dinner 3</t>
  </si>
  <si>
    <t>Selskaber, mad</t>
  </si>
  <si>
    <t>Selskaber, gennemsnitlig drikke</t>
  </si>
  <si>
    <t>Buffet</t>
  </si>
  <si>
    <t>Natmad</t>
  </si>
  <si>
    <t>navn</t>
  </si>
  <si>
    <t>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</si>
</sst>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4" fillId="4" borderId="0" applyNumberFormat="0" applyBorder="0" applyAlignment="0" applyProtection="0"/>
  </cellStyleXfs>
  <cellXfs count="66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5" fontId="0" fillId="0" borderId="0" xfId="1" applyNumberFormat="1" applyFont="1"/>
    <xf numFmtId="165" fontId="0" fillId="0" borderId="0" xfId="0" applyNumberFormat="1"/>
    <xf numFmtId="9" fontId="0" fillId="0" borderId="0" xfId="2" applyFont="1"/>
    <xf numFmtId="0" fontId="3" fillId="0" borderId="0" xfId="0" applyFont="1"/>
    <xf numFmtId="0" fontId="7" fillId="0" borderId="0" xfId="0" applyFont="1"/>
    <xf numFmtId="0" fontId="0" fillId="0" borderId="3" xfId="0" applyBorder="1"/>
    <xf numFmtId="165" fontId="0" fillId="0" borderId="1" xfId="0" applyNumberFormat="1" applyBorder="1"/>
    <xf numFmtId="165" fontId="0" fillId="0" borderId="4" xfId="0" applyNumberFormat="1" applyBorder="1"/>
    <xf numFmtId="0" fontId="0" fillId="0" borderId="0" xfId="0" applyBorder="1"/>
    <xf numFmtId="165" fontId="0" fillId="0" borderId="0" xfId="0" applyNumberFormat="1" applyBorder="1"/>
    <xf numFmtId="0" fontId="0" fillId="0" borderId="0" xfId="0" applyFill="1" applyBorder="1"/>
    <xf numFmtId="165" fontId="2" fillId="2" borderId="0" xfId="3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9" fontId="0" fillId="0" borderId="0" xfId="2" applyNumberFormat="1" applyFont="1" applyBorder="1"/>
    <xf numFmtId="3" fontId="3" fillId="0" borderId="0" xfId="0" applyNumberFormat="1" applyFont="1" applyBorder="1"/>
    <xf numFmtId="0" fontId="6" fillId="0" borderId="9" xfId="0" applyFont="1" applyBorder="1" applyAlignment="1">
      <alignment vertical="center"/>
    </xf>
    <xf numFmtId="165" fontId="0" fillId="0" borderId="2" xfId="0" applyNumberFormat="1" applyBorder="1"/>
    <xf numFmtId="166" fontId="4" fillId="4" borderId="0" xfId="5" applyNumberFormat="1"/>
    <xf numFmtId="9" fontId="0" fillId="0" borderId="10" xfId="2" applyFont="1" applyBorder="1"/>
    <xf numFmtId="9" fontId="0" fillId="0" borderId="11" xfId="2" applyFont="1" applyBorder="1"/>
    <xf numFmtId="165" fontId="0" fillId="0" borderId="8" xfId="0" applyNumberFormat="1" applyBorder="1"/>
    <xf numFmtId="0" fontId="0" fillId="5" borderId="0" xfId="0" applyFill="1"/>
    <xf numFmtId="0" fontId="7" fillId="0" borderId="12" xfId="0" applyFont="1" applyBorder="1"/>
    <xf numFmtId="0" fontId="0" fillId="0" borderId="12" xfId="0" applyBorder="1"/>
    <xf numFmtId="0" fontId="5" fillId="0" borderId="0" xfId="0" quotePrefix="1" applyFont="1" applyAlignment="1">
      <alignment vertical="center" wrapText="1"/>
    </xf>
    <xf numFmtId="0" fontId="9" fillId="0" borderId="0" xfId="0" applyFont="1"/>
    <xf numFmtId="0" fontId="2" fillId="2" borderId="0" xfId="3"/>
    <xf numFmtId="0" fontId="10" fillId="0" borderId="0" xfId="0" applyFont="1"/>
    <xf numFmtId="165" fontId="8" fillId="3" borderId="2" xfId="4" applyNumberFormat="1" applyBorder="1"/>
    <xf numFmtId="9" fontId="8" fillId="3" borderId="2" xfId="4" applyNumberFormat="1" applyBorder="1"/>
    <xf numFmtId="0" fontId="0" fillId="0" borderId="2" xfId="0" applyBorder="1"/>
    <xf numFmtId="0" fontId="9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0" fillId="5" borderId="2" xfId="0" applyFill="1" applyBorder="1"/>
    <xf numFmtId="0" fontId="5" fillId="0" borderId="2" xfId="0" applyFont="1" applyBorder="1" applyAlignment="1">
      <alignment vertical="center"/>
    </xf>
    <xf numFmtId="0" fontId="3" fillId="0" borderId="2" xfId="0" applyFont="1" applyBorder="1"/>
    <xf numFmtId="0" fontId="8" fillId="3" borderId="2" xfId="4" applyBorder="1"/>
    <xf numFmtId="9" fontId="0" fillId="0" borderId="2" xfId="2" applyNumberFormat="1" applyFont="1" applyBorder="1"/>
    <xf numFmtId="0" fontId="0" fillId="0" borderId="2" xfId="0" applyFill="1" applyBorder="1"/>
    <xf numFmtId="165" fontId="0" fillId="0" borderId="2" xfId="1" applyNumberFormat="1" applyFont="1" applyBorder="1"/>
    <xf numFmtId="0" fontId="0" fillId="0" borderId="2" xfId="0" applyBorder="1" applyAlignment="1">
      <alignment wrapText="1"/>
    </xf>
    <xf numFmtId="166" fontId="4" fillId="4" borderId="2" xfId="5" applyNumberFormat="1" applyBorder="1"/>
    <xf numFmtId="9" fontId="0" fillId="0" borderId="2" xfId="2" applyFont="1" applyBorder="1"/>
    <xf numFmtId="0" fontId="5" fillId="0" borderId="2" xfId="0" applyFont="1" applyBorder="1" applyAlignment="1">
      <alignment vertical="center" wrapText="1"/>
    </xf>
    <xf numFmtId="0" fontId="5" fillId="0" borderId="2" xfId="0" quotePrefix="1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3" fontId="3" fillId="0" borderId="2" xfId="0" applyNumberFormat="1" applyFont="1" applyBorder="1"/>
    <xf numFmtId="3" fontId="0" fillId="0" borderId="2" xfId="0" applyNumberFormat="1" applyBorder="1"/>
    <xf numFmtId="164" fontId="0" fillId="0" borderId="2" xfId="0" applyNumberFormat="1" applyBorder="1"/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9" fontId="0" fillId="0" borderId="2" xfId="0" applyNumberFormat="1" applyBorder="1"/>
    <xf numFmtId="165" fontId="2" fillId="2" borderId="2" xfId="1" applyNumberFormat="1" applyFont="1" applyFill="1" applyBorder="1"/>
    <xf numFmtId="165" fontId="2" fillId="2" borderId="2" xfId="3" applyNumberFormat="1" applyBorder="1"/>
    <xf numFmtId="3" fontId="0" fillId="0" borderId="0" xfId="0" applyNumberFormat="1"/>
    <xf numFmtId="164" fontId="4" fillId="4" borderId="2" xfId="1" applyFont="1" applyFill="1" applyBorder="1"/>
    <xf numFmtId="165" fontId="2" fillId="2" borderId="2" xfId="1" quotePrefix="1" applyNumberFormat="1" applyFont="1" applyFill="1" applyBorder="1"/>
    <xf numFmtId="165" fontId="0" fillId="0" borderId="2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Farve5" xfId="5" builtinId="45"/>
    <cellStyle name="God" xfId="3" builtinId="26"/>
    <cellStyle name="Komma" xfId="1" builtinId="3"/>
    <cellStyle name="Normal" xfId="0" builtinId="0"/>
    <cellStyle name="Procent" xfId="2" builtinId="5"/>
    <cellStyle name="Ugyldig" xfId="4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zoomScale="90" zoomScaleNormal="90" workbookViewId="0">
      <selection activeCell="A2" sqref="A2"/>
    </sheetView>
  </sheetViews>
  <sheetFormatPr defaultRowHeight="14.4" x14ac:dyDescent="0.3"/>
  <cols>
    <col min="1" max="1" width="34.109375" customWidth="1"/>
    <col min="2" max="9" width="10.44140625" bestFit="1" customWidth="1"/>
    <col min="10" max="10" width="11.44140625" bestFit="1" customWidth="1"/>
  </cols>
  <sheetData>
    <row r="1" spans="1:12" ht="30" customHeight="1" x14ac:dyDescent="0.6">
      <c r="A1" s="36" t="s">
        <v>78</v>
      </c>
      <c r="B1" s="35"/>
      <c r="C1" s="35"/>
      <c r="D1" s="35"/>
      <c r="E1" s="35"/>
      <c r="F1" s="37"/>
      <c r="G1" s="38" t="s">
        <v>38</v>
      </c>
      <c r="H1" s="38"/>
      <c r="I1" s="35"/>
      <c r="J1" s="35"/>
      <c r="K1" s="35"/>
      <c r="L1" s="35"/>
    </row>
    <row r="2" spans="1:12" ht="25.5" customHeight="1" x14ac:dyDescent="0.55000000000000004">
      <c r="A2" s="36" t="s">
        <v>17</v>
      </c>
      <c r="B2" s="39"/>
      <c r="C2" s="35" t="s">
        <v>18</v>
      </c>
      <c r="D2" s="35"/>
      <c r="E2" s="35"/>
      <c r="F2" s="37"/>
      <c r="G2" s="35"/>
      <c r="H2" s="35"/>
      <c r="I2" s="35"/>
      <c r="J2" s="35"/>
      <c r="K2" s="35"/>
      <c r="L2" s="35"/>
    </row>
    <row r="3" spans="1:12" x14ac:dyDescent="0.3">
      <c r="A3" s="40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3">
      <c r="A4" s="35"/>
      <c r="B4" s="35"/>
      <c r="C4" s="41" t="s">
        <v>0</v>
      </c>
      <c r="D4" s="41" t="s">
        <v>1</v>
      </c>
      <c r="E4" s="41" t="s">
        <v>2</v>
      </c>
      <c r="F4" s="41" t="s">
        <v>3</v>
      </c>
      <c r="G4" s="41" t="s">
        <v>4</v>
      </c>
      <c r="H4" s="41" t="s">
        <v>5</v>
      </c>
      <c r="I4" s="41" t="s">
        <v>6</v>
      </c>
      <c r="J4" s="35"/>
      <c r="K4" s="35"/>
      <c r="L4" s="35"/>
    </row>
    <row r="5" spans="1:12" x14ac:dyDescent="0.3">
      <c r="A5" s="42" t="s">
        <v>8</v>
      </c>
      <c r="B5" s="33">
        <f>+SUM(C5:I5)</f>
        <v>682640</v>
      </c>
      <c r="C5" s="21">
        <f>+C78</f>
        <v>97520</v>
      </c>
      <c r="D5" s="21">
        <f t="shared" ref="D5:I5" si="0">+D78</f>
        <v>97520</v>
      </c>
      <c r="E5" s="21">
        <f t="shared" si="0"/>
        <v>97520</v>
      </c>
      <c r="F5" s="21">
        <f t="shared" si="0"/>
        <v>97520</v>
      </c>
      <c r="G5" s="21">
        <f t="shared" si="0"/>
        <v>97520</v>
      </c>
      <c r="H5" s="21">
        <f t="shared" si="0"/>
        <v>97520</v>
      </c>
      <c r="I5" s="21">
        <f t="shared" si="0"/>
        <v>97520</v>
      </c>
      <c r="J5" s="35"/>
      <c r="K5" s="35"/>
      <c r="L5" s="35"/>
    </row>
    <row r="6" spans="1:12" x14ac:dyDescent="0.3">
      <c r="A6" s="42" t="s">
        <v>35</v>
      </c>
      <c r="B6" s="33">
        <f>+SUM(L65:L76)</f>
        <v>140210</v>
      </c>
      <c r="C6" s="21"/>
      <c r="D6" s="21"/>
      <c r="E6" s="21"/>
      <c r="F6" s="21"/>
      <c r="G6" s="21"/>
      <c r="H6" s="21"/>
      <c r="I6" s="21"/>
      <c r="J6" s="35"/>
      <c r="K6" s="35"/>
      <c r="L6" s="35"/>
    </row>
    <row r="7" spans="1:12" x14ac:dyDescent="0.3">
      <c r="A7" s="42" t="s">
        <v>36</v>
      </c>
      <c r="B7" s="33">
        <f>+SUM(K65:K76)</f>
        <v>542430</v>
      </c>
      <c r="C7" s="21"/>
      <c r="D7" s="21"/>
      <c r="E7" s="21"/>
      <c r="F7" s="21"/>
      <c r="G7" s="21"/>
      <c r="H7" s="21"/>
      <c r="I7" s="21"/>
      <c r="J7" s="35"/>
      <c r="K7" s="35"/>
      <c r="L7" s="35"/>
    </row>
    <row r="8" spans="1:12" x14ac:dyDescent="0.3">
      <c r="A8" s="35" t="s">
        <v>44</v>
      </c>
      <c r="B8" s="43">
        <v>0.25</v>
      </c>
      <c r="C8" s="21"/>
      <c r="D8" s="21"/>
      <c r="E8" s="21"/>
      <c r="F8" s="21"/>
      <c r="G8" s="21"/>
      <c r="H8" s="21"/>
      <c r="I8" s="21"/>
      <c r="J8" s="35"/>
      <c r="K8" s="35"/>
      <c r="L8" s="35"/>
    </row>
    <row r="9" spans="1:12" x14ac:dyDescent="0.3">
      <c r="A9" s="44" t="s">
        <v>45</v>
      </c>
      <c r="B9" s="45">
        <f>+B8*B6</f>
        <v>35052.5</v>
      </c>
      <c r="C9" s="21"/>
      <c r="D9" s="21"/>
      <c r="E9" s="21"/>
      <c r="F9" s="21"/>
      <c r="G9" s="21"/>
      <c r="H9" s="21"/>
      <c r="I9" s="21"/>
      <c r="J9" s="35"/>
      <c r="K9" s="35"/>
      <c r="L9" s="35"/>
    </row>
    <row r="10" spans="1:12" x14ac:dyDescent="0.3">
      <c r="A10" s="44" t="s">
        <v>46</v>
      </c>
      <c r="B10" s="43">
        <v>0.3</v>
      </c>
      <c r="C10" s="21"/>
      <c r="D10" s="21"/>
      <c r="E10" s="21"/>
      <c r="F10" s="21"/>
      <c r="G10" s="21"/>
      <c r="H10" s="21"/>
      <c r="I10" s="21"/>
      <c r="J10" s="35"/>
      <c r="K10" s="35"/>
      <c r="L10" s="35"/>
    </row>
    <row r="11" spans="1:12" x14ac:dyDescent="0.3">
      <c r="A11" s="35" t="s">
        <v>47</v>
      </c>
      <c r="B11" s="33">
        <f>+B10*B7</f>
        <v>162729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x14ac:dyDescent="0.3">
      <c r="A12" s="44" t="s">
        <v>48</v>
      </c>
      <c r="B12" s="34">
        <f>+(B5-(B11+B9))/B5</f>
        <v>0.710269688269073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43.2" x14ac:dyDescent="0.3">
      <c r="A14" s="40" t="s">
        <v>11</v>
      </c>
      <c r="B14" s="21" t="str">
        <f>+Realiseret!B19</f>
        <v>Timeløn:</v>
      </c>
      <c r="C14" s="63" t="s">
        <v>34</v>
      </c>
      <c r="D14" s="63"/>
      <c r="E14" s="63"/>
      <c r="F14" s="63"/>
      <c r="G14" s="63"/>
      <c r="H14" s="63"/>
      <c r="I14" s="63"/>
      <c r="J14" s="46" t="s">
        <v>50</v>
      </c>
      <c r="K14" s="35"/>
      <c r="L14" s="35"/>
    </row>
    <row r="15" spans="1:12" x14ac:dyDescent="0.3">
      <c r="A15" s="40" t="s">
        <v>62</v>
      </c>
      <c r="B15" s="21">
        <f>+Realiseret!B20</f>
        <v>173.99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/>
      <c r="J15" s="35"/>
      <c r="K15" s="35"/>
      <c r="L15" s="35"/>
    </row>
    <row r="16" spans="1:12" x14ac:dyDescent="0.3">
      <c r="A16" s="40" t="s">
        <v>63</v>
      </c>
      <c r="B16" s="21" t="e">
        <f>+Realiseret!#REF!</f>
        <v>#REF!</v>
      </c>
      <c r="C16" s="47"/>
      <c r="D16" s="47"/>
      <c r="E16" s="47"/>
      <c r="F16" s="47"/>
      <c r="G16" s="47"/>
      <c r="H16" s="47"/>
      <c r="I16" s="47"/>
      <c r="J16" s="35"/>
      <c r="K16" s="35"/>
      <c r="L16" s="35"/>
    </row>
    <row r="17" spans="1:12" x14ac:dyDescent="0.3">
      <c r="A17" s="40" t="s">
        <v>64</v>
      </c>
      <c r="B17" s="21">
        <f>+Realiseret!B21</f>
        <v>274</v>
      </c>
      <c r="C17" s="47"/>
      <c r="D17" s="47"/>
      <c r="E17" s="47"/>
      <c r="F17" s="47"/>
      <c r="G17" s="47"/>
      <c r="H17" s="47"/>
      <c r="I17" s="47"/>
      <c r="J17" s="35"/>
      <c r="K17" s="35"/>
      <c r="L17" s="35"/>
    </row>
    <row r="18" spans="1:12" x14ac:dyDescent="0.3">
      <c r="A18" s="40" t="s">
        <v>67</v>
      </c>
      <c r="B18" s="21">
        <f>+Realiseret!B22</f>
        <v>173.99</v>
      </c>
      <c r="C18" s="47"/>
      <c r="D18" s="47"/>
      <c r="E18" s="47"/>
      <c r="F18" s="47"/>
      <c r="G18" s="47"/>
      <c r="H18" s="47"/>
      <c r="I18" s="47"/>
      <c r="J18" s="35"/>
      <c r="K18" s="35"/>
      <c r="L18" s="35"/>
    </row>
    <row r="19" spans="1:12" x14ac:dyDescent="0.3">
      <c r="A19" s="40" t="s">
        <v>68</v>
      </c>
      <c r="B19" s="21">
        <f>+Realiseret!B23</f>
        <v>173.99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/>
      <c r="J19" s="35"/>
      <c r="K19" s="35"/>
      <c r="L19" s="35"/>
    </row>
    <row r="20" spans="1:12" x14ac:dyDescent="0.3">
      <c r="A20" s="40" t="s">
        <v>19</v>
      </c>
      <c r="B20" s="21">
        <f>+Realiseret!B24</f>
        <v>184.95000000000002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35"/>
      <c r="K20" s="35"/>
      <c r="L20" s="35"/>
    </row>
    <row r="21" spans="1:12" x14ac:dyDescent="0.3">
      <c r="A21" s="40" t="s">
        <v>33</v>
      </c>
      <c r="B21" s="33">
        <f>+B22*B5</f>
        <v>8203.799999999992</v>
      </c>
      <c r="C21" s="45" t="e">
        <f t="shared" ref="C21:I21" si="1">+C15*$B$15+C16*$B$16+C17*$B$17+C18*$B$18+C19*$B$19+C20*$B$20</f>
        <v>#REF!</v>
      </c>
      <c r="D21" s="45" t="e">
        <f t="shared" si="1"/>
        <v>#REF!</v>
      </c>
      <c r="E21" s="45" t="e">
        <f t="shared" si="1"/>
        <v>#REF!</v>
      </c>
      <c r="F21" s="45" t="e">
        <f t="shared" si="1"/>
        <v>#REF!</v>
      </c>
      <c r="G21" s="45" t="e">
        <f t="shared" si="1"/>
        <v>#REF!</v>
      </c>
      <c r="H21" s="45" t="e">
        <f t="shared" si="1"/>
        <v>#REF!</v>
      </c>
      <c r="I21" s="45" t="e">
        <f t="shared" si="1"/>
        <v>#REF!</v>
      </c>
      <c r="J21" s="33" t="e">
        <f>+SUM(C21:I21)</f>
        <v>#REF!</v>
      </c>
      <c r="K21" s="35"/>
      <c r="L21" s="35"/>
    </row>
    <row r="22" spans="1:12" x14ac:dyDescent="0.3">
      <c r="A22" s="40" t="s">
        <v>32</v>
      </c>
      <c r="B22" s="34">
        <f>B26-B25</f>
        <v>1.2017754599789043E-2</v>
      </c>
      <c r="C22" s="48" t="e">
        <f t="shared" ref="C22:I22" si="2">+C21/C5</f>
        <v>#REF!</v>
      </c>
      <c r="D22" s="48" t="e">
        <f t="shared" si="2"/>
        <v>#REF!</v>
      </c>
      <c r="E22" s="48" t="e">
        <f t="shared" si="2"/>
        <v>#REF!</v>
      </c>
      <c r="F22" s="48" t="e">
        <f t="shared" si="2"/>
        <v>#REF!</v>
      </c>
      <c r="G22" s="48" t="e">
        <f t="shared" si="2"/>
        <v>#REF!</v>
      </c>
      <c r="H22" s="48" t="e">
        <f t="shared" si="2"/>
        <v>#REF!</v>
      </c>
      <c r="I22" s="48" t="e">
        <f t="shared" si="2"/>
        <v>#REF!</v>
      </c>
      <c r="J22" s="34" t="e">
        <f>+J21/B5</f>
        <v>#REF!</v>
      </c>
      <c r="K22" s="35"/>
      <c r="L22" s="35"/>
    </row>
    <row r="23" spans="1:12" x14ac:dyDescent="0.3">
      <c r="A23" s="49" t="s">
        <v>52</v>
      </c>
      <c r="B23" s="45">
        <v>126389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x14ac:dyDescent="0.3">
      <c r="A24" s="49" t="s">
        <v>53</v>
      </c>
      <c r="B24" s="60">
        <v>152116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3">
      <c r="A25" s="50" t="s">
        <v>31</v>
      </c>
      <c r="B25" s="48">
        <f>+(B23+B24)/B5</f>
        <v>0.40798224540021094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3">
      <c r="A26" s="49" t="s">
        <v>54</v>
      </c>
      <c r="B26" s="48">
        <v>0.42</v>
      </c>
      <c r="C26" s="35"/>
      <c r="D26" s="35"/>
      <c r="E26" s="35"/>
      <c r="F26" s="35"/>
      <c r="G26" s="35"/>
      <c r="H26" s="35"/>
      <c r="I26" s="35"/>
      <c r="J26" s="57"/>
      <c r="K26" s="35"/>
      <c r="L26" s="35"/>
    </row>
    <row r="27" spans="1:12" x14ac:dyDescent="0.3">
      <c r="A27" s="51" t="s">
        <v>49</v>
      </c>
      <c r="B27" s="21" t="e">
        <f>+B5-B9-B11-J21-B23-B24</f>
        <v>#REF!</v>
      </c>
      <c r="C27" s="52"/>
      <c r="D27" s="52"/>
      <c r="E27" s="52"/>
      <c r="F27" s="52"/>
      <c r="G27" s="52"/>
      <c r="H27" s="52"/>
      <c r="I27" s="52"/>
      <c r="J27" s="4"/>
      <c r="K27" s="35"/>
      <c r="L27" s="35"/>
    </row>
    <row r="28" spans="1:12" x14ac:dyDescent="0.3">
      <c r="A28" s="35"/>
      <c r="B28" s="35"/>
      <c r="C28" s="35"/>
      <c r="D28" s="53"/>
      <c r="E28" s="35"/>
      <c r="F28" s="35"/>
      <c r="G28" s="35"/>
      <c r="H28" s="35"/>
      <c r="I28" s="35"/>
      <c r="J28" s="35"/>
      <c r="K28" s="35"/>
      <c r="L28" s="35"/>
    </row>
    <row r="29" spans="1:12" x14ac:dyDescent="0.3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3">
      <c r="A30" s="35" t="s">
        <v>23</v>
      </c>
      <c r="B30" s="35"/>
      <c r="C30" s="48"/>
      <c r="D30" s="48"/>
      <c r="E30" s="48"/>
      <c r="F30" s="48"/>
      <c r="G30" s="48"/>
      <c r="H30" s="48"/>
      <c r="I30" s="48"/>
      <c r="J30" s="35"/>
      <c r="K30" s="35"/>
      <c r="L30" s="35"/>
    </row>
    <row r="31" spans="1:12" x14ac:dyDescent="0.3">
      <c r="A31" s="35"/>
      <c r="B31" s="54"/>
      <c r="C31" s="45"/>
      <c r="D31" s="45"/>
      <c r="E31" s="45"/>
      <c r="F31" s="45"/>
      <c r="G31" s="45"/>
      <c r="H31" s="45"/>
      <c r="I31" s="45"/>
      <c r="J31" s="35"/>
      <c r="K31" s="35"/>
      <c r="L31" s="35"/>
    </row>
    <row r="32" spans="1:12" x14ac:dyDescent="0.3">
      <c r="A32" s="40" t="s">
        <v>30</v>
      </c>
      <c r="B32" s="35"/>
      <c r="C32" s="55" t="s">
        <v>0</v>
      </c>
      <c r="D32" s="55" t="s">
        <v>1</v>
      </c>
      <c r="E32" s="55" t="s">
        <v>2</v>
      </c>
      <c r="F32" s="55" t="s">
        <v>3</v>
      </c>
      <c r="G32" s="55" t="s">
        <v>4</v>
      </c>
      <c r="H32" s="55" t="s">
        <v>5</v>
      </c>
      <c r="I32" s="55" t="s">
        <v>6</v>
      </c>
      <c r="J32" s="35"/>
      <c r="K32" s="35"/>
      <c r="L32" s="35"/>
    </row>
    <row r="33" spans="1:12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3">
      <c r="A34" s="35" t="s">
        <v>24</v>
      </c>
      <c r="B34" s="35"/>
      <c r="C34" s="35">
        <v>50</v>
      </c>
      <c r="D34" s="35">
        <v>50</v>
      </c>
      <c r="E34" s="35">
        <v>50</v>
      </c>
      <c r="F34" s="35">
        <v>50</v>
      </c>
      <c r="G34" s="35">
        <v>50</v>
      </c>
      <c r="H34" s="35">
        <v>50</v>
      </c>
      <c r="I34" s="35">
        <v>50</v>
      </c>
      <c r="J34" s="35"/>
      <c r="K34" s="35"/>
      <c r="L34" s="35"/>
    </row>
    <row r="35" spans="1:12" x14ac:dyDescent="0.3">
      <c r="A35" s="35" t="s">
        <v>25</v>
      </c>
      <c r="B35" s="35"/>
      <c r="C35" s="35">
        <v>50</v>
      </c>
      <c r="D35" s="35">
        <v>50</v>
      </c>
      <c r="E35" s="35">
        <v>50</v>
      </c>
      <c r="F35" s="35">
        <v>50</v>
      </c>
      <c r="G35" s="35">
        <v>50</v>
      </c>
      <c r="H35" s="35">
        <v>50</v>
      </c>
      <c r="I35" s="35">
        <v>50</v>
      </c>
      <c r="J35" s="35"/>
      <c r="K35" s="35"/>
      <c r="L35" s="35"/>
    </row>
    <row r="36" spans="1:12" x14ac:dyDescent="0.3">
      <c r="A36" s="35" t="s">
        <v>26</v>
      </c>
      <c r="B36" s="35"/>
      <c r="C36" s="35">
        <v>50</v>
      </c>
      <c r="D36" s="35">
        <v>50</v>
      </c>
      <c r="E36" s="35">
        <v>50</v>
      </c>
      <c r="F36" s="35">
        <v>50</v>
      </c>
      <c r="G36" s="35">
        <v>50</v>
      </c>
      <c r="H36" s="35">
        <v>50</v>
      </c>
      <c r="I36" s="35">
        <v>50</v>
      </c>
      <c r="J36" s="35"/>
      <c r="K36" s="35"/>
      <c r="L36" s="35"/>
    </row>
    <row r="37" spans="1:12" x14ac:dyDescent="0.3">
      <c r="A37" s="35" t="s">
        <v>69</v>
      </c>
      <c r="B37" s="35"/>
      <c r="C37" s="35">
        <v>50</v>
      </c>
      <c r="D37" s="35">
        <v>50</v>
      </c>
      <c r="E37" s="35">
        <v>50</v>
      </c>
      <c r="F37" s="35">
        <v>50</v>
      </c>
      <c r="G37" s="35">
        <v>50</v>
      </c>
      <c r="H37" s="35">
        <v>50</v>
      </c>
      <c r="I37" s="35">
        <v>50</v>
      </c>
      <c r="J37" s="35"/>
      <c r="K37" s="35"/>
      <c r="L37" s="35"/>
    </row>
    <row r="38" spans="1:12" x14ac:dyDescent="0.3">
      <c r="A38" s="35" t="s">
        <v>70</v>
      </c>
      <c r="B38" s="35"/>
      <c r="C38" s="35">
        <v>50</v>
      </c>
      <c r="D38" s="35">
        <v>50</v>
      </c>
      <c r="E38" s="35">
        <v>50</v>
      </c>
      <c r="F38" s="35">
        <v>50</v>
      </c>
      <c r="G38" s="35">
        <v>50</v>
      </c>
      <c r="H38" s="35">
        <v>50</v>
      </c>
      <c r="I38" s="35">
        <v>50</v>
      </c>
      <c r="J38" s="35"/>
      <c r="K38" s="35"/>
      <c r="L38" s="35"/>
    </row>
    <row r="39" spans="1:12" x14ac:dyDescent="0.3">
      <c r="A39" s="35" t="s">
        <v>71</v>
      </c>
      <c r="B39" s="35"/>
      <c r="C39" s="35">
        <v>50</v>
      </c>
      <c r="D39" s="35">
        <v>50</v>
      </c>
      <c r="E39" s="35">
        <v>50</v>
      </c>
      <c r="F39" s="35">
        <v>50</v>
      </c>
      <c r="G39" s="35">
        <v>50</v>
      </c>
      <c r="H39" s="35">
        <v>50</v>
      </c>
      <c r="I39" s="35">
        <v>50</v>
      </c>
      <c r="J39" s="35"/>
      <c r="K39" s="35"/>
      <c r="L39" s="35"/>
    </row>
    <row r="40" spans="1:12" x14ac:dyDescent="0.3">
      <c r="A40" s="35" t="s">
        <v>72</v>
      </c>
      <c r="B40" s="35"/>
      <c r="C40" s="35">
        <v>50</v>
      </c>
      <c r="D40" s="35">
        <v>50</v>
      </c>
      <c r="E40" s="35">
        <v>50</v>
      </c>
      <c r="F40" s="35">
        <v>50</v>
      </c>
      <c r="G40" s="35">
        <v>50</v>
      </c>
      <c r="H40" s="35">
        <v>50</v>
      </c>
      <c r="I40" s="35">
        <v>50</v>
      </c>
      <c r="J40" s="35"/>
      <c r="K40" s="35"/>
      <c r="L40" s="35"/>
    </row>
    <row r="41" spans="1:12" x14ac:dyDescent="0.3">
      <c r="A41" s="35" t="s">
        <v>51</v>
      </c>
      <c r="B41" s="35"/>
      <c r="C41" s="35">
        <v>50</v>
      </c>
      <c r="D41" s="35">
        <v>50</v>
      </c>
      <c r="E41" s="35">
        <v>50</v>
      </c>
      <c r="F41" s="35">
        <v>50</v>
      </c>
      <c r="G41" s="35">
        <v>50</v>
      </c>
      <c r="H41" s="35">
        <v>50</v>
      </c>
      <c r="I41" s="35">
        <v>50</v>
      </c>
      <c r="J41" s="35"/>
      <c r="K41" s="35"/>
      <c r="L41" s="35"/>
    </row>
    <row r="42" spans="1:12" x14ac:dyDescent="0.3">
      <c r="A42" s="35" t="s">
        <v>73</v>
      </c>
      <c r="B42" s="35"/>
      <c r="C42" s="35">
        <v>50</v>
      </c>
      <c r="D42" s="35">
        <v>50</v>
      </c>
      <c r="E42" s="35">
        <v>50</v>
      </c>
      <c r="F42" s="35">
        <v>50</v>
      </c>
      <c r="G42" s="35">
        <v>50</v>
      </c>
      <c r="H42" s="35">
        <v>50</v>
      </c>
      <c r="I42" s="35">
        <v>50</v>
      </c>
      <c r="J42" s="35"/>
      <c r="K42" s="35"/>
      <c r="L42" s="35"/>
    </row>
    <row r="43" spans="1:12" x14ac:dyDescent="0.3">
      <c r="A43" s="35" t="s">
        <v>74</v>
      </c>
      <c r="B43" s="35"/>
      <c r="C43" s="35">
        <v>50</v>
      </c>
      <c r="D43" s="35">
        <v>50</v>
      </c>
      <c r="E43" s="35">
        <v>50</v>
      </c>
      <c r="F43" s="35">
        <v>50</v>
      </c>
      <c r="G43" s="35">
        <v>50</v>
      </c>
      <c r="H43" s="35">
        <v>50</v>
      </c>
      <c r="I43" s="35">
        <v>50</v>
      </c>
      <c r="J43" s="35"/>
      <c r="K43" s="35"/>
      <c r="L43" s="35"/>
    </row>
    <row r="44" spans="1:12" x14ac:dyDescent="0.3">
      <c r="A44" s="35" t="s">
        <v>75</v>
      </c>
      <c r="B44" s="35"/>
      <c r="C44" s="35">
        <v>50</v>
      </c>
      <c r="D44" s="35">
        <v>50</v>
      </c>
      <c r="E44" s="35">
        <v>50</v>
      </c>
      <c r="F44" s="35">
        <v>50</v>
      </c>
      <c r="G44" s="35">
        <v>50</v>
      </c>
      <c r="H44" s="35">
        <v>50</v>
      </c>
      <c r="I44" s="35">
        <v>50</v>
      </c>
      <c r="J44" s="35"/>
      <c r="K44" s="35"/>
      <c r="L44" s="35"/>
    </row>
    <row r="45" spans="1:12" x14ac:dyDescent="0.3">
      <c r="A45" s="35" t="s">
        <v>76</v>
      </c>
      <c r="B45" s="35"/>
      <c r="C45" s="35">
        <v>50</v>
      </c>
      <c r="D45" s="35">
        <v>50</v>
      </c>
      <c r="E45" s="35">
        <v>50</v>
      </c>
      <c r="F45" s="35">
        <v>50</v>
      </c>
      <c r="G45" s="35">
        <v>50</v>
      </c>
      <c r="H45" s="35">
        <v>50</v>
      </c>
      <c r="I45" s="35">
        <v>50</v>
      </c>
      <c r="J45" s="35"/>
      <c r="K45" s="35"/>
      <c r="L45" s="35"/>
    </row>
    <row r="46" spans="1:12" x14ac:dyDescent="0.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3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28.8" x14ac:dyDescent="0.3">
      <c r="A48" s="35"/>
      <c r="B48" s="35"/>
      <c r="C48" s="46" t="s">
        <v>27</v>
      </c>
      <c r="D48" s="64" t="s">
        <v>40</v>
      </c>
      <c r="E48" s="64"/>
      <c r="F48" s="35"/>
      <c r="G48" s="35"/>
      <c r="H48" s="35"/>
      <c r="I48" s="35"/>
      <c r="J48" s="35"/>
      <c r="K48" s="35"/>
      <c r="L48" s="35"/>
    </row>
    <row r="49" spans="1:12" x14ac:dyDescent="0.3">
      <c r="A49" s="35"/>
      <c r="B49" s="35"/>
      <c r="C49" s="35"/>
      <c r="D49" s="56" t="s">
        <v>41</v>
      </c>
      <c r="E49" s="56" t="s">
        <v>42</v>
      </c>
      <c r="F49" s="35"/>
      <c r="G49" s="35"/>
      <c r="H49" s="35"/>
      <c r="I49" s="35"/>
      <c r="J49" s="35"/>
      <c r="K49" s="35"/>
      <c r="L49" s="35"/>
    </row>
    <row r="50" spans="1:12" x14ac:dyDescent="0.3">
      <c r="A50" s="35" t="s">
        <v>24</v>
      </c>
      <c r="B50" s="35"/>
      <c r="C50" s="61">
        <f>105/1.25</f>
        <v>84</v>
      </c>
      <c r="D50" s="57">
        <v>0.95</v>
      </c>
      <c r="E50" s="57">
        <v>0.05</v>
      </c>
      <c r="F50" s="35"/>
      <c r="G50" s="35"/>
      <c r="H50" s="35"/>
      <c r="I50" s="35"/>
      <c r="J50" s="35"/>
      <c r="K50" s="35"/>
      <c r="L50" s="35"/>
    </row>
    <row r="51" spans="1:12" x14ac:dyDescent="0.3">
      <c r="A51" s="35" t="s">
        <v>25</v>
      </c>
      <c r="B51" s="35"/>
      <c r="C51" s="61">
        <f>25/1.25</f>
        <v>20</v>
      </c>
      <c r="D51" s="57">
        <v>0.8</v>
      </c>
      <c r="E51" s="57">
        <v>0.2</v>
      </c>
      <c r="F51" s="35"/>
      <c r="G51" s="35"/>
      <c r="H51" s="35"/>
      <c r="I51" s="35"/>
      <c r="J51" s="35"/>
      <c r="K51" s="35"/>
      <c r="L51" s="35"/>
    </row>
    <row r="52" spans="1:12" x14ac:dyDescent="0.3">
      <c r="A52" s="35" t="s">
        <v>26</v>
      </c>
      <c r="B52" s="35"/>
      <c r="C52" s="61">
        <f>235/1.25</f>
        <v>188</v>
      </c>
      <c r="D52" s="57">
        <v>0.9</v>
      </c>
      <c r="E52" s="57">
        <v>0.1</v>
      </c>
      <c r="F52" s="35"/>
      <c r="G52" s="35"/>
      <c r="H52" s="35"/>
      <c r="I52" s="35"/>
      <c r="J52" s="35"/>
      <c r="K52" s="35"/>
      <c r="L52" s="35"/>
    </row>
    <row r="53" spans="1:12" x14ac:dyDescent="0.3">
      <c r="A53" s="35" t="s">
        <v>69</v>
      </c>
      <c r="B53" s="35"/>
      <c r="C53" s="61">
        <f>25/1.25</f>
        <v>20</v>
      </c>
      <c r="D53" s="57">
        <v>0</v>
      </c>
      <c r="E53" s="57">
        <v>1</v>
      </c>
      <c r="F53" s="35"/>
      <c r="G53" s="35"/>
      <c r="H53" s="35"/>
      <c r="I53" s="35"/>
      <c r="J53" s="35"/>
      <c r="K53" s="35"/>
      <c r="L53" s="35"/>
    </row>
    <row r="54" spans="1:12" x14ac:dyDescent="0.3">
      <c r="A54" s="35" t="s">
        <v>70</v>
      </c>
      <c r="B54" s="35"/>
      <c r="C54" s="61">
        <f>35/1.25</f>
        <v>28</v>
      </c>
      <c r="D54" s="57">
        <v>0.8</v>
      </c>
      <c r="E54" s="57">
        <v>0.2</v>
      </c>
      <c r="F54" s="35"/>
      <c r="G54" s="35"/>
      <c r="H54" s="35"/>
      <c r="I54" s="35"/>
      <c r="J54" s="35"/>
      <c r="K54" s="35"/>
      <c r="L54" s="35"/>
    </row>
    <row r="55" spans="1:12" x14ac:dyDescent="0.3">
      <c r="A55" s="35" t="s">
        <v>71</v>
      </c>
      <c r="B55" s="35"/>
      <c r="C55" s="61">
        <f>225/1.25</f>
        <v>180</v>
      </c>
      <c r="D55" s="57">
        <v>1</v>
      </c>
      <c r="E55" s="57">
        <v>0</v>
      </c>
      <c r="F55" s="35"/>
      <c r="G55" s="35"/>
      <c r="H55" s="35"/>
      <c r="I55" s="35"/>
      <c r="J55" s="35"/>
      <c r="K55" s="35"/>
      <c r="L55" s="35"/>
    </row>
    <row r="56" spans="1:12" x14ac:dyDescent="0.3">
      <c r="A56" s="35" t="s">
        <v>72</v>
      </c>
      <c r="B56" s="35"/>
      <c r="C56" s="61">
        <f>305/1.25</f>
        <v>244</v>
      </c>
      <c r="D56" s="57">
        <v>1</v>
      </c>
      <c r="E56" s="57">
        <v>0</v>
      </c>
      <c r="F56" s="35"/>
      <c r="G56" s="35"/>
      <c r="H56" s="35"/>
      <c r="I56" s="35"/>
      <c r="J56" s="35"/>
      <c r="K56" s="35"/>
      <c r="L56" s="35"/>
    </row>
    <row r="57" spans="1:12" x14ac:dyDescent="0.3">
      <c r="A57" s="35" t="s">
        <v>51</v>
      </c>
      <c r="B57" s="35"/>
      <c r="C57" s="61">
        <f>150/1.25</f>
        <v>120</v>
      </c>
      <c r="D57" s="57">
        <v>0</v>
      </c>
      <c r="E57" s="57">
        <v>1</v>
      </c>
      <c r="F57" s="35"/>
      <c r="G57" s="35"/>
      <c r="H57" s="35"/>
      <c r="I57" s="35"/>
      <c r="J57" s="35"/>
      <c r="K57" s="35"/>
      <c r="L57" s="35"/>
    </row>
    <row r="58" spans="1:12" x14ac:dyDescent="0.3">
      <c r="A58" s="35" t="s">
        <v>73</v>
      </c>
      <c r="B58" s="35"/>
      <c r="C58" s="61">
        <f>398/1.25</f>
        <v>318.39999999999998</v>
      </c>
      <c r="D58" s="57">
        <v>1</v>
      </c>
      <c r="E58" s="57">
        <v>0</v>
      </c>
      <c r="F58" s="35"/>
      <c r="G58" s="35"/>
      <c r="H58" s="35"/>
      <c r="I58" s="35"/>
      <c r="J58" s="35"/>
      <c r="K58" s="35"/>
      <c r="L58" s="35"/>
    </row>
    <row r="59" spans="1:12" x14ac:dyDescent="0.3">
      <c r="A59" s="35" t="s">
        <v>74</v>
      </c>
      <c r="B59" s="35"/>
      <c r="C59" s="61">
        <f>285/1.25</f>
        <v>228</v>
      </c>
      <c r="D59" s="57">
        <v>0</v>
      </c>
      <c r="E59" s="57">
        <v>1</v>
      </c>
      <c r="F59" s="35"/>
      <c r="G59" s="35"/>
      <c r="H59" s="35"/>
      <c r="I59" s="35"/>
      <c r="J59" s="35"/>
      <c r="K59" s="35"/>
      <c r="L59" s="35"/>
    </row>
    <row r="60" spans="1:12" x14ac:dyDescent="0.3">
      <c r="A60" s="35" t="s">
        <v>75</v>
      </c>
      <c r="B60" s="35"/>
      <c r="C60" s="61">
        <f>325/1.25</f>
        <v>260</v>
      </c>
      <c r="D60" s="57">
        <v>1</v>
      </c>
      <c r="E60" s="57">
        <v>0</v>
      </c>
      <c r="F60" s="35"/>
      <c r="G60" s="35"/>
      <c r="H60" s="35"/>
      <c r="I60" s="35"/>
      <c r="J60" s="35"/>
      <c r="K60" s="35"/>
      <c r="L60" s="35"/>
    </row>
    <row r="61" spans="1:12" x14ac:dyDescent="0.3">
      <c r="A61" s="35" t="s">
        <v>76</v>
      </c>
      <c r="B61" s="35"/>
      <c r="C61" s="61">
        <f>325/1.25</f>
        <v>260</v>
      </c>
      <c r="D61" s="57">
        <v>1</v>
      </c>
      <c r="E61" s="57">
        <v>0</v>
      </c>
      <c r="F61" s="35"/>
      <c r="G61" s="35"/>
      <c r="H61" s="35"/>
      <c r="I61" s="35"/>
      <c r="J61" s="35"/>
      <c r="K61" s="35"/>
      <c r="L61" s="35"/>
    </row>
    <row r="62" spans="1:12" x14ac:dyDescent="0.3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x14ac:dyDescent="0.3">
      <c r="A63" s="40" t="s">
        <v>28</v>
      </c>
      <c r="B63" s="35"/>
      <c r="C63" s="41" t="s">
        <v>0</v>
      </c>
      <c r="D63" s="41" t="s">
        <v>1</v>
      </c>
      <c r="E63" s="41" t="s">
        <v>2</v>
      </c>
      <c r="F63" s="41" t="s">
        <v>3</v>
      </c>
      <c r="G63" s="41" t="s">
        <v>4</v>
      </c>
      <c r="H63" s="41" t="s">
        <v>5</v>
      </c>
      <c r="I63" s="41" t="s">
        <v>6</v>
      </c>
      <c r="J63" s="41" t="s">
        <v>29</v>
      </c>
      <c r="K63" s="65" t="s">
        <v>43</v>
      </c>
      <c r="L63" s="65"/>
    </row>
    <row r="64" spans="1:12" x14ac:dyDescent="0.3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 t="s">
        <v>41</v>
      </c>
      <c r="L64" s="35" t="s">
        <v>42</v>
      </c>
    </row>
    <row r="65" spans="1:12" x14ac:dyDescent="0.3">
      <c r="A65" s="35" t="s">
        <v>24</v>
      </c>
      <c r="B65" s="35"/>
      <c r="C65" s="58">
        <f>+$C$50*C34</f>
        <v>4200</v>
      </c>
      <c r="D65" s="58">
        <f t="shared" ref="D65:I65" si="3">+$C$50*D34</f>
        <v>4200</v>
      </c>
      <c r="E65" s="58">
        <f t="shared" si="3"/>
        <v>4200</v>
      </c>
      <c r="F65" s="58">
        <f t="shared" si="3"/>
        <v>4200</v>
      </c>
      <c r="G65" s="58">
        <f t="shared" si="3"/>
        <v>4200</v>
      </c>
      <c r="H65" s="58">
        <f t="shared" si="3"/>
        <v>4200</v>
      </c>
      <c r="I65" s="58">
        <f t="shared" si="3"/>
        <v>4200</v>
      </c>
      <c r="J65" s="45">
        <f t="shared" ref="J65:J76" si="4">+SUM(C65:I65)</f>
        <v>29400</v>
      </c>
      <c r="K65" s="33">
        <f>+J65*D50</f>
        <v>27930</v>
      </c>
      <c r="L65" s="33">
        <f t="shared" ref="L65" si="5">+J65-K65</f>
        <v>1470</v>
      </c>
    </row>
    <row r="66" spans="1:12" x14ac:dyDescent="0.3">
      <c r="A66" s="35" t="s">
        <v>25</v>
      </c>
      <c r="B66" s="35"/>
      <c r="C66" s="58">
        <f>+$C$51*C35</f>
        <v>1000</v>
      </c>
      <c r="D66" s="58">
        <f t="shared" ref="D66:I66" si="6">+$C$51*D35</f>
        <v>1000</v>
      </c>
      <c r="E66" s="58">
        <f t="shared" si="6"/>
        <v>1000</v>
      </c>
      <c r="F66" s="58">
        <f t="shared" si="6"/>
        <v>1000</v>
      </c>
      <c r="G66" s="58">
        <f t="shared" si="6"/>
        <v>1000</v>
      </c>
      <c r="H66" s="58">
        <f t="shared" si="6"/>
        <v>1000</v>
      </c>
      <c r="I66" s="58">
        <f t="shared" si="6"/>
        <v>1000</v>
      </c>
      <c r="J66" s="45">
        <f t="shared" si="4"/>
        <v>7000</v>
      </c>
      <c r="K66" s="33">
        <f t="shared" ref="K66:K75" si="7">+J66*D51</f>
        <v>5600</v>
      </c>
      <c r="L66" s="33">
        <f t="shared" ref="L66:L76" si="8">+J66-K66</f>
        <v>1400</v>
      </c>
    </row>
    <row r="67" spans="1:12" x14ac:dyDescent="0.3">
      <c r="A67" s="35" t="s">
        <v>26</v>
      </c>
      <c r="B67" s="35"/>
      <c r="C67" s="58">
        <f>+$C$52*C36</f>
        <v>9400</v>
      </c>
      <c r="D67" s="58">
        <f t="shared" ref="D67:I67" si="9">+$C$52*D36</f>
        <v>9400</v>
      </c>
      <c r="E67" s="58">
        <f t="shared" si="9"/>
        <v>9400</v>
      </c>
      <c r="F67" s="58">
        <f t="shared" si="9"/>
        <v>9400</v>
      </c>
      <c r="G67" s="58">
        <f t="shared" si="9"/>
        <v>9400</v>
      </c>
      <c r="H67" s="58">
        <f t="shared" si="9"/>
        <v>9400</v>
      </c>
      <c r="I67" s="58">
        <f t="shared" si="9"/>
        <v>9400</v>
      </c>
      <c r="J67" s="45">
        <f t="shared" si="4"/>
        <v>65800</v>
      </c>
      <c r="K67" s="33">
        <f t="shared" si="7"/>
        <v>59220</v>
      </c>
      <c r="L67" s="33">
        <f t="shared" si="8"/>
        <v>6580</v>
      </c>
    </row>
    <row r="68" spans="1:12" x14ac:dyDescent="0.3">
      <c r="A68" s="35" t="s">
        <v>69</v>
      </c>
      <c r="B68" s="35"/>
      <c r="C68" s="58">
        <f>+$C$53*C37</f>
        <v>1000</v>
      </c>
      <c r="D68" s="58">
        <f t="shared" ref="D68:I68" si="10">+$C$53*D37</f>
        <v>1000</v>
      </c>
      <c r="E68" s="58">
        <f t="shared" si="10"/>
        <v>1000</v>
      </c>
      <c r="F68" s="58">
        <f t="shared" si="10"/>
        <v>1000</v>
      </c>
      <c r="G68" s="58">
        <f t="shared" si="10"/>
        <v>1000</v>
      </c>
      <c r="H68" s="58">
        <f t="shared" si="10"/>
        <v>1000</v>
      </c>
      <c r="I68" s="58">
        <f t="shared" si="10"/>
        <v>1000</v>
      </c>
      <c r="J68" s="45">
        <f t="shared" si="4"/>
        <v>7000</v>
      </c>
      <c r="K68" s="33">
        <f t="shared" si="7"/>
        <v>0</v>
      </c>
      <c r="L68" s="33">
        <f t="shared" si="8"/>
        <v>7000</v>
      </c>
    </row>
    <row r="69" spans="1:12" x14ac:dyDescent="0.3">
      <c r="A69" s="35" t="s">
        <v>70</v>
      </c>
      <c r="B69" s="35"/>
      <c r="C69" s="58">
        <f>+$C$54*C38</f>
        <v>1400</v>
      </c>
      <c r="D69" s="58">
        <f t="shared" ref="D69:I69" si="11">+$C$54*D38</f>
        <v>1400</v>
      </c>
      <c r="E69" s="58">
        <f t="shared" si="11"/>
        <v>1400</v>
      </c>
      <c r="F69" s="58">
        <f t="shared" si="11"/>
        <v>1400</v>
      </c>
      <c r="G69" s="58">
        <f t="shared" si="11"/>
        <v>1400</v>
      </c>
      <c r="H69" s="58">
        <f t="shared" si="11"/>
        <v>1400</v>
      </c>
      <c r="I69" s="58">
        <f t="shared" si="11"/>
        <v>1400</v>
      </c>
      <c r="J69" s="45">
        <f t="shared" si="4"/>
        <v>9800</v>
      </c>
      <c r="K69" s="33">
        <f t="shared" si="7"/>
        <v>7840</v>
      </c>
      <c r="L69" s="33">
        <f t="shared" si="8"/>
        <v>1960</v>
      </c>
    </row>
    <row r="70" spans="1:12" x14ac:dyDescent="0.3">
      <c r="A70" s="35" t="s">
        <v>71</v>
      </c>
      <c r="B70" s="35"/>
      <c r="C70" s="62">
        <f>+$C$55*C39</f>
        <v>9000</v>
      </c>
      <c r="D70" s="62">
        <f t="shared" ref="D70:I70" si="12">+$C$55*D39</f>
        <v>9000</v>
      </c>
      <c r="E70" s="62">
        <f t="shared" si="12"/>
        <v>9000</v>
      </c>
      <c r="F70" s="62">
        <f t="shared" si="12"/>
        <v>9000</v>
      </c>
      <c r="G70" s="62">
        <f t="shared" si="12"/>
        <v>9000</v>
      </c>
      <c r="H70" s="62">
        <f t="shared" si="12"/>
        <v>9000</v>
      </c>
      <c r="I70" s="62">
        <f t="shared" si="12"/>
        <v>9000</v>
      </c>
      <c r="J70" s="45">
        <f t="shared" si="4"/>
        <v>63000</v>
      </c>
      <c r="K70" s="33">
        <f t="shared" si="7"/>
        <v>63000</v>
      </c>
      <c r="L70" s="33">
        <f t="shared" si="8"/>
        <v>0</v>
      </c>
    </row>
    <row r="71" spans="1:12" x14ac:dyDescent="0.3">
      <c r="A71" s="35" t="s">
        <v>72</v>
      </c>
      <c r="B71" s="35"/>
      <c r="C71" s="58">
        <f>+$C$56*C40</f>
        <v>12200</v>
      </c>
      <c r="D71" s="58">
        <f t="shared" ref="D71:I71" si="13">+$C$56*D40</f>
        <v>12200</v>
      </c>
      <c r="E71" s="58">
        <f t="shared" si="13"/>
        <v>12200</v>
      </c>
      <c r="F71" s="58">
        <f t="shared" si="13"/>
        <v>12200</v>
      </c>
      <c r="G71" s="58">
        <f t="shared" si="13"/>
        <v>12200</v>
      </c>
      <c r="H71" s="58">
        <f t="shared" si="13"/>
        <v>12200</v>
      </c>
      <c r="I71" s="58">
        <f t="shared" si="13"/>
        <v>12200</v>
      </c>
      <c r="J71" s="45">
        <f t="shared" si="4"/>
        <v>85400</v>
      </c>
      <c r="K71" s="33">
        <f t="shared" si="7"/>
        <v>85400</v>
      </c>
      <c r="L71" s="33">
        <f t="shared" si="8"/>
        <v>0</v>
      </c>
    </row>
    <row r="72" spans="1:12" x14ac:dyDescent="0.3">
      <c r="A72" s="35" t="s">
        <v>51</v>
      </c>
      <c r="B72" s="35"/>
      <c r="C72" s="58">
        <f>+$C$57*C41</f>
        <v>6000</v>
      </c>
      <c r="D72" s="58">
        <f t="shared" ref="D72:I72" si="14">+$C$57*D41</f>
        <v>6000</v>
      </c>
      <c r="E72" s="58">
        <f t="shared" si="14"/>
        <v>6000</v>
      </c>
      <c r="F72" s="58">
        <f t="shared" si="14"/>
        <v>6000</v>
      </c>
      <c r="G72" s="58">
        <f t="shared" si="14"/>
        <v>6000</v>
      </c>
      <c r="H72" s="58">
        <f t="shared" si="14"/>
        <v>6000</v>
      </c>
      <c r="I72" s="58">
        <f t="shared" si="14"/>
        <v>6000</v>
      </c>
      <c r="J72" s="45">
        <f t="shared" si="4"/>
        <v>42000</v>
      </c>
      <c r="K72" s="33">
        <f t="shared" si="7"/>
        <v>0</v>
      </c>
      <c r="L72" s="33">
        <f t="shared" si="8"/>
        <v>42000</v>
      </c>
    </row>
    <row r="73" spans="1:12" x14ac:dyDescent="0.3">
      <c r="A73" s="35" t="s">
        <v>73</v>
      </c>
      <c r="B73" s="35"/>
      <c r="C73" s="58">
        <f>+$C$58*C42</f>
        <v>15919.999999999998</v>
      </c>
      <c r="D73" s="58">
        <f t="shared" ref="D73:I73" si="15">+$C$58*D42</f>
        <v>15919.999999999998</v>
      </c>
      <c r="E73" s="58">
        <f t="shared" si="15"/>
        <v>15919.999999999998</v>
      </c>
      <c r="F73" s="58">
        <f t="shared" si="15"/>
        <v>15919.999999999998</v>
      </c>
      <c r="G73" s="58">
        <f t="shared" si="15"/>
        <v>15919.999999999998</v>
      </c>
      <c r="H73" s="58">
        <f t="shared" si="15"/>
        <v>15919.999999999998</v>
      </c>
      <c r="I73" s="58">
        <f t="shared" si="15"/>
        <v>15919.999999999998</v>
      </c>
      <c r="J73" s="45">
        <f t="shared" si="4"/>
        <v>111439.99999999999</v>
      </c>
      <c r="K73" s="33">
        <f t="shared" si="7"/>
        <v>111439.99999999999</v>
      </c>
      <c r="L73" s="33">
        <f t="shared" si="8"/>
        <v>0</v>
      </c>
    </row>
    <row r="74" spans="1:12" x14ac:dyDescent="0.3">
      <c r="A74" s="35" t="s">
        <v>74</v>
      </c>
      <c r="B74" s="35"/>
      <c r="C74" s="58">
        <f>+$C$59*C43</f>
        <v>11400</v>
      </c>
      <c r="D74" s="58">
        <f t="shared" ref="D74:I74" si="16">+$C$59*D43</f>
        <v>11400</v>
      </c>
      <c r="E74" s="58">
        <f t="shared" si="16"/>
        <v>11400</v>
      </c>
      <c r="F74" s="58">
        <f t="shared" si="16"/>
        <v>11400</v>
      </c>
      <c r="G74" s="58">
        <f t="shared" si="16"/>
        <v>11400</v>
      </c>
      <c r="H74" s="58">
        <f t="shared" si="16"/>
        <v>11400</v>
      </c>
      <c r="I74" s="58">
        <f t="shared" si="16"/>
        <v>11400</v>
      </c>
      <c r="J74" s="45">
        <f t="shared" si="4"/>
        <v>79800</v>
      </c>
      <c r="K74" s="33">
        <f t="shared" si="7"/>
        <v>0</v>
      </c>
      <c r="L74" s="33">
        <f t="shared" si="8"/>
        <v>79800</v>
      </c>
    </row>
    <row r="75" spans="1:12" x14ac:dyDescent="0.3">
      <c r="A75" s="35" t="s">
        <v>75</v>
      </c>
      <c r="B75" s="35"/>
      <c r="C75" s="58">
        <f>+$C$60*C44</f>
        <v>13000</v>
      </c>
      <c r="D75" s="58">
        <f t="shared" ref="D75:I75" si="17">+$C$60*D44</f>
        <v>13000</v>
      </c>
      <c r="E75" s="58">
        <f t="shared" si="17"/>
        <v>13000</v>
      </c>
      <c r="F75" s="58">
        <f t="shared" si="17"/>
        <v>13000</v>
      </c>
      <c r="G75" s="58">
        <f t="shared" si="17"/>
        <v>13000</v>
      </c>
      <c r="H75" s="58">
        <f t="shared" si="17"/>
        <v>13000</v>
      </c>
      <c r="I75" s="58">
        <f t="shared" si="17"/>
        <v>13000</v>
      </c>
      <c r="J75" s="45">
        <f t="shared" si="4"/>
        <v>91000</v>
      </c>
      <c r="K75" s="33">
        <f t="shared" si="7"/>
        <v>91000</v>
      </c>
      <c r="L75" s="33">
        <f t="shared" si="8"/>
        <v>0</v>
      </c>
    </row>
    <row r="76" spans="1:12" x14ac:dyDescent="0.3">
      <c r="A76" s="35" t="s">
        <v>76</v>
      </c>
      <c r="B76" s="35"/>
      <c r="C76" s="58">
        <f>+$C$61*C45</f>
        <v>13000</v>
      </c>
      <c r="D76" s="58">
        <f t="shared" ref="D76:I76" si="18">+$C$61*D45</f>
        <v>13000</v>
      </c>
      <c r="E76" s="58">
        <f t="shared" si="18"/>
        <v>13000</v>
      </c>
      <c r="F76" s="58">
        <f t="shared" si="18"/>
        <v>13000</v>
      </c>
      <c r="G76" s="58">
        <f t="shared" si="18"/>
        <v>13000</v>
      </c>
      <c r="H76" s="58">
        <f t="shared" si="18"/>
        <v>13000</v>
      </c>
      <c r="I76" s="58">
        <f t="shared" si="18"/>
        <v>13000</v>
      </c>
      <c r="J76" s="45">
        <f t="shared" si="4"/>
        <v>91000</v>
      </c>
      <c r="K76" s="33">
        <f>+J76*D61</f>
        <v>91000</v>
      </c>
      <c r="L76" s="33">
        <f t="shared" si="8"/>
        <v>0</v>
      </c>
    </row>
    <row r="77" spans="1:12" x14ac:dyDescent="0.3">
      <c r="A77" s="35"/>
      <c r="B77" s="35"/>
      <c r="C77" s="45"/>
      <c r="D77" s="45"/>
      <c r="E77" s="45"/>
      <c r="F77" s="45"/>
      <c r="G77" s="45"/>
      <c r="H77" s="45"/>
      <c r="I77" s="45"/>
      <c r="J77" s="45"/>
      <c r="K77" s="35"/>
      <c r="L77" s="35"/>
    </row>
    <row r="78" spans="1:12" x14ac:dyDescent="0.3">
      <c r="A78" s="35" t="s">
        <v>29</v>
      </c>
      <c r="B78" s="35"/>
      <c r="C78" s="59">
        <f t="shared" ref="C78:L78" si="19">+SUM(C65:C76)</f>
        <v>97520</v>
      </c>
      <c r="D78" s="59">
        <f t="shared" si="19"/>
        <v>97520</v>
      </c>
      <c r="E78" s="59">
        <f t="shared" si="19"/>
        <v>97520</v>
      </c>
      <c r="F78" s="59">
        <f t="shared" si="19"/>
        <v>97520</v>
      </c>
      <c r="G78" s="59">
        <f t="shared" si="19"/>
        <v>97520</v>
      </c>
      <c r="H78" s="59">
        <f t="shared" si="19"/>
        <v>97520</v>
      </c>
      <c r="I78" s="59">
        <f t="shared" si="19"/>
        <v>97520</v>
      </c>
      <c r="J78" s="58">
        <f t="shared" si="19"/>
        <v>682640</v>
      </c>
      <c r="K78" s="33">
        <f t="shared" si="19"/>
        <v>542430</v>
      </c>
      <c r="L78" s="33">
        <f t="shared" si="19"/>
        <v>140210</v>
      </c>
    </row>
    <row r="79" spans="1:12" x14ac:dyDescent="0.3">
      <c r="K79" s="4"/>
    </row>
    <row r="80" spans="1:12" x14ac:dyDescent="0.3">
      <c r="L80" s="4"/>
    </row>
  </sheetData>
  <mergeCells count="3">
    <mergeCell ref="C14:I14"/>
    <mergeCell ref="D48:E48"/>
    <mergeCell ref="K63:L63"/>
  </mergeCells>
  <pageMargins left="0.23622047244094491" right="0.23622047244094491" top="0.74803149606299213" bottom="0.35433070866141736" header="0.31496062992125984" footer="0.31496062992125984"/>
  <pageSetup paperSize="9" scale="90" orientation="landscape" r:id="rId1"/>
  <rowBreaks count="1" manualBreakCount="1">
    <brk id="2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abSelected="1" topLeftCell="A3" zoomScale="90" zoomScaleNormal="90" workbookViewId="0">
      <selection activeCell="M23" sqref="M23"/>
    </sheetView>
  </sheetViews>
  <sheetFormatPr defaultRowHeight="14.4" x14ac:dyDescent="0.3"/>
  <cols>
    <col min="1" max="1" width="34.109375" customWidth="1"/>
    <col min="2" max="2" width="10.44140625" bestFit="1" customWidth="1"/>
  </cols>
  <sheetData>
    <row r="1" spans="1:9" ht="31.2" x14ac:dyDescent="0.6">
      <c r="A1" s="30" t="s">
        <v>77</v>
      </c>
      <c r="F1" s="7"/>
      <c r="H1" s="32" t="s">
        <v>39</v>
      </c>
    </row>
    <row r="2" spans="1:9" ht="28.8" x14ac:dyDescent="0.55000000000000004">
      <c r="A2" s="30" t="s">
        <v>17</v>
      </c>
      <c r="B2" s="26"/>
      <c r="C2" s="28" t="s">
        <v>18</v>
      </c>
      <c r="D2" s="28"/>
      <c r="E2" s="28"/>
      <c r="F2" s="27"/>
      <c r="G2" s="28"/>
      <c r="H2" s="28"/>
      <c r="I2" s="28"/>
    </row>
    <row r="3" spans="1:9" x14ac:dyDescent="0.3">
      <c r="A3" s="1"/>
    </row>
    <row r="4" spans="1:9" x14ac:dyDescent="0.3"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</row>
    <row r="5" spans="1:9" x14ac:dyDescent="0.3">
      <c r="A5" s="8" t="s">
        <v>8</v>
      </c>
      <c r="B5" s="9">
        <f>+SUM(C5:I5)</f>
        <v>290000</v>
      </c>
      <c r="C5" s="9">
        <v>20000</v>
      </c>
      <c r="D5" s="9">
        <v>40000</v>
      </c>
      <c r="E5" s="9">
        <v>30000</v>
      </c>
      <c r="F5" s="9">
        <v>50000</v>
      </c>
      <c r="G5" s="9">
        <v>70000</v>
      </c>
      <c r="H5" s="9">
        <v>70000</v>
      </c>
      <c r="I5" s="10">
        <v>10000</v>
      </c>
    </row>
    <row r="6" spans="1:9" x14ac:dyDescent="0.3">
      <c r="A6" s="11" t="s">
        <v>35</v>
      </c>
      <c r="B6" s="12">
        <f>+SUM(C6:I6)</f>
        <v>105000</v>
      </c>
      <c r="C6" s="12">
        <v>10000</v>
      </c>
      <c r="D6" s="12">
        <v>10000</v>
      </c>
      <c r="E6" s="12">
        <v>15000</v>
      </c>
      <c r="F6" s="12">
        <v>15000</v>
      </c>
      <c r="G6" s="12">
        <v>25000</v>
      </c>
      <c r="H6" s="12">
        <v>25000</v>
      </c>
      <c r="I6" s="12">
        <v>5000</v>
      </c>
    </row>
    <row r="7" spans="1:9" x14ac:dyDescent="0.3">
      <c r="A7" s="13" t="s">
        <v>36</v>
      </c>
      <c r="B7" s="12">
        <f>+SUM(C7:I7)</f>
        <v>185000</v>
      </c>
      <c r="C7" s="12">
        <v>10000</v>
      </c>
      <c r="D7" s="12">
        <v>30000</v>
      </c>
      <c r="E7" s="12">
        <v>15000</v>
      </c>
      <c r="F7" s="12">
        <v>35000</v>
      </c>
      <c r="G7" s="12">
        <v>45000</v>
      </c>
      <c r="H7" s="12">
        <v>45000</v>
      </c>
      <c r="I7" s="12">
        <v>5000</v>
      </c>
    </row>
    <row r="8" spans="1:9" x14ac:dyDescent="0.3">
      <c r="A8" s="11" t="s">
        <v>37</v>
      </c>
      <c r="B8" s="18">
        <f>+B15/B7</f>
        <v>0.27459459459459462</v>
      </c>
      <c r="C8" s="12"/>
      <c r="D8" s="12"/>
      <c r="E8" s="12"/>
      <c r="F8" s="12"/>
      <c r="G8" s="12"/>
      <c r="H8" s="12"/>
      <c r="I8" s="12"/>
    </row>
    <row r="9" spans="1:9" x14ac:dyDescent="0.3">
      <c r="A9" s="11" t="s">
        <v>55</v>
      </c>
      <c r="B9" s="15">
        <f t="shared" ref="B9:B14" si="0">+SUM(C9:I9)</f>
        <v>25000</v>
      </c>
      <c r="C9" s="14">
        <v>20000</v>
      </c>
      <c r="D9" s="14"/>
      <c r="E9" s="14">
        <v>5000</v>
      </c>
      <c r="F9" s="14"/>
      <c r="G9" s="14"/>
      <c r="H9" s="14"/>
      <c r="I9" s="14"/>
    </row>
    <row r="10" spans="1:9" x14ac:dyDescent="0.3">
      <c r="A10" s="13" t="s">
        <v>56</v>
      </c>
      <c r="B10" s="15">
        <f t="shared" si="0"/>
        <v>10000</v>
      </c>
      <c r="C10" s="14"/>
      <c r="D10" s="14">
        <v>5000</v>
      </c>
      <c r="E10" s="14"/>
      <c r="F10" s="14">
        <v>5000</v>
      </c>
      <c r="G10" s="14"/>
      <c r="H10" s="14"/>
      <c r="I10" s="14"/>
    </row>
    <row r="11" spans="1:9" x14ac:dyDescent="0.3">
      <c r="A11" s="13" t="s">
        <v>57</v>
      </c>
      <c r="B11" s="15">
        <f t="shared" si="0"/>
        <v>3000</v>
      </c>
      <c r="C11" s="14"/>
      <c r="D11" s="14"/>
      <c r="E11" s="14"/>
      <c r="F11" s="14"/>
      <c r="G11" s="14">
        <v>3000</v>
      </c>
      <c r="H11" s="14"/>
      <c r="I11" s="14"/>
    </row>
    <row r="12" spans="1:9" x14ac:dyDescent="0.3">
      <c r="A12" s="13" t="s">
        <v>58</v>
      </c>
      <c r="B12" s="15">
        <f t="shared" si="0"/>
        <v>2500</v>
      </c>
      <c r="C12" s="14">
        <v>2500</v>
      </c>
      <c r="D12" s="14"/>
      <c r="E12" s="14"/>
      <c r="F12" s="14"/>
      <c r="G12" s="14"/>
      <c r="H12" s="14"/>
      <c r="I12" s="14"/>
    </row>
    <row r="13" spans="1:9" x14ac:dyDescent="0.3">
      <c r="A13" s="13" t="s">
        <v>59</v>
      </c>
      <c r="B13" s="15">
        <f t="shared" si="0"/>
        <v>1800</v>
      </c>
      <c r="C13" s="14">
        <v>1800</v>
      </c>
      <c r="D13" s="14"/>
      <c r="E13" s="14"/>
      <c r="F13" s="14"/>
      <c r="G13" s="14"/>
      <c r="H13" s="14"/>
      <c r="I13" s="14"/>
    </row>
    <row r="14" spans="1:9" x14ac:dyDescent="0.3">
      <c r="A14" s="13" t="s">
        <v>60</v>
      </c>
      <c r="B14" s="15">
        <f t="shared" si="0"/>
        <v>8500</v>
      </c>
      <c r="C14" s="14">
        <v>3500</v>
      </c>
      <c r="D14" s="14"/>
      <c r="E14" s="14"/>
      <c r="F14" s="14"/>
      <c r="G14" s="14">
        <v>5000</v>
      </c>
      <c r="H14" s="14"/>
      <c r="I14" s="14"/>
    </row>
    <row r="15" spans="1:9" x14ac:dyDescent="0.3">
      <c r="A15" s="1" t="s">
        <v>10</v>
      </c>
      <c r="B15" s="17">
        <f>+SUM(B9:B14)</f>
        <v>50800</v>
      </c>
      <c r="C15" s="3"/>
      <c r="D15" s="3"/>
      <c r="E15" s="3"/>
      <c r="F15" s="3"/>
      <c r="G15" s="3"/>
      <c r="H15" s="3"/>
      <c r="I15" s="3"/>
    </row>
    <row r="16" spans="1:9" x14ac:dyDescent="0.3">
      <c r="A16" s="1" t="s">
        <v>14</v>
      </c>
      <c r="B16" s="5">
        <v>0.25</v>
      </c>
      <c r="C16" s="3"/>
      <c r="D16" s="3"/>
      <c r="E16" s="3"/>
      <c r="F16" s="3"/>
      <c r="G16" s="3"/>
      <c r="H16" s="3"/>
      <c r="I16" s="3"/>
    </row>
    <row r="17" spans="1:9" x14ac:dyDescent="0.3">
      <c r="A17" s="1" t="s">
        <v>20</v>
      </c>
      <c r="B17" s="21">
        <f>+B6*B16</f>
        <v>26250</v>
      </c>
      <c r="C17" s="3"/>
      <c r="D17" s="3"/>
      <c r="E17" s="3"/>
      <c r="F17" s="3"/>
      <c r="G17" s="3"/>
      <c r="H17" s="3"/>
      <c r="I17" s="3"/>
    </row>
    <row r="18" spans="1:9" x14ac:dyDescent="0.3">
      <c r="C18" s="3"/>
      <c r="D18" s="3"/>
      <c r="E18" s="3"/>
      <c r="F18" s="3"/>
      <c r="G18" s="3"/>
      <c r="H18" s="3"/>
      <c r="I18" s="3"/>
    </row>
    <row r="19" spans="1:9" x14ac:dyDescent="0.3">
      <c r="A19" s="1" t="s">
        <v>61</v>
      </c>
      <c r="B19" s="12" t="s">
        <v>12</v>
      </c>
      <c r="C19" s="3"/>
      <c r="D19" s="3"/>
      <c r="E19" s="3"/>
      <c r="F19" s="3"/>
      <c r="G19" s="3"/>
      <c r="H19" s="3"/>
      <c r="I19" s="3"/>
    </row>
    <row r="20" spans="1:9" x14ac:dyDescent="0.3">
      <c r="A20" s="1" t="s">
        <v>62</v>
      </c>
      <c r="B20" s="15">
        <f>127*1.37</f>
        <v>173.99</v>
      </c>
      <c r="C20" s="22">
        <v>5</v>
      </c>
      <c r="D20" s="22"/>
      <c r="E20" s="22"/>
      <c r="F20" s="22"/>
      <c r="G20" s="22"/>
      <c r="H20" s="22"/>
      <c r="I20" s="22"/>
    </row>
    <row r="21" spans="1:9" x14ac:dyDescent="0.3">
      <c r="A21" s="1" t="s">
        <v>64</v>
      </c>
      <c r="B21" s="16">
        <f>200*1.37</f>
        <v>274</v>
      </c>
      <c r="C21" s="22"/>
      <c r="D21" s="22">
        <v>10</v>
      </c>
      <c r="E21" s="22"/>
      <c r="F21" s="22"/>
      <c r="G21" s="22"/>
      <c r="H21" s="22"/>
      <c r="I21" s="22"/>
    </row>
    <row r="22" spans="1:9" x14ac:dyDescent="0.3">
      <c r="A22" s="1" t="s">
        <v>65</v>
      </c>
      <c r="B22" s="16">
        <f>127*1.37</f>
        <v>173.99</v>
      </c>
      <c r="C22" s="22"/>
      <c r="D22" s="22"/>
      <c r="E22" s="22">
        <v>10</v>
      </c>
      <c r="F22" s="22"/>
      <c r="G22" s="22"/>
      <c r="H22" s="22"/>
      <c r="I22" s="22"/>
    </row>
    <row r="23" spans="1:9" x14ac:dyDescent="0.3">
      <c r="A23" s="1" t="s">
        <v>66</v>
      </c>
      <c r="B23" s="16">
        <f>127*1.37</f>
        <v>173.99</v>
      </c>
      <c r="C23" s="22"/>
      <c r="D23" s="22"/>
      <c r="E23" s="22"/>
      <c r="F23" s="22">
        <v>10</v>
      </c>
      <c r="G23" s="22">
        <v>40</v>
      </c>
      <c r="H23" s="22">
        <v>50</v>
      </c>
      <c r="I23" s="22">
        <v>0</v>
      </c>
    </row>
    <row r="24" spans="1:9" x14ac:dyDescent="0.3">
      <c r="A24" s="1" t="s">
        <v>19</v>
      </c>
      <c r="B24" s="17">
        <f>135*1.37</f>
        <v>184.95000000000002</v>
      </c>
      <c r="C24" s="22"/>
      <c r="D24" s="22">
        <v>10</v>
      </c>
      <c r="E24" s="22"/>
      <c r="F24" s="22"/>
      <c r="G24" s="22">
        <v>10</v>
      </c>
      <c r="H24" s="22">
        <v>10</v>
      </c>
      <c r="I24" s="22">
        <v>10</v>
      </c>
    </row>
    <row r="25" spans="1:9" x14ac:dyDescent="0.3">
      <c r="A25" s="1" t="s">
        <v>9</v>
      </c>
      <c r="B25" s="4">
        <f>+SUM(C25:I25)</f>
        <v>30146.85</v>
      </c>
      <c r="C25" s="3">
        <f t="shared" ref="C25:I25" si="1">+C20*$B$20+C22*$B$22+$B$24*C24+C21*$B$21+C23*$B$23</f>
        <v>869.95</v>
      </c>
      <c r="D25" s="3">
        <f t="shared" si="1"/>
        <v>4589.5</v>
      </c>
      <c r="E25" s="3">
        <f t="shared" si="1"/>
        <v>1739.9</v>
      </c>
      <c r="F25" s="3">
        <f t="shared" si="1"/>
        <v>1739.9</v>
      </c>
      <c r="G25" s="3">
        <f t="shared" si="1"/>
        <v>8809.1</v>
      </c>
      <c r="H25" s="3">
        <f t="shared" si="1"/>
        <v>10549</v>
      </c>
      <c r="I25" s="3">
        <f t="shared" si="1"/>
        <v>1849.5000000000002</v>
      </c>
    </row>
    <row r="26" spans="1:9" x14ac:dyDescent="0.3">
      <c r="A26" s="1" t="s">
        <v>13</v>
      </c>
      <c r="B26" s="5">
        <f t="shared" ref="B26:I26" si="2">+B25/B5</f>
        <v>0.10395465517241378</v>
      </c>
      <c r="C26" s="5">
        <f t="shared" si="2"/>
        <v>4.3497500000000001E-2</v>
      </c>
      <c r="D26" s="5">
        <f t="shared" si="2"/>
        <v>0.11473750000000001</v>
      </c>
      <c r="E26" s="5">
        <f t="shared" si="2"/>
        <v>5.7996666666666669E-2</v>
      </c>
      <c r="F26" s="5">
        <f t="shared" si="2"/>
        <v>3.4798000000000003E-2</v>
      </c>
      <c r="G26" s="5">
        <f t="shared" si="2"/>
        <v>0.12584428571428571</v>
      </c>
      <c r="H26" s="5">
        <f t="shared" si="2"/>
        <v>0.1507</v>
      </c>
      <c r="I26" s="5">
        <f t="shared" si="2"/>
        <v>0.18495000000000003</v>
      </c>
    </row>
    <row r="27" spans="1:9" ht="15" thickBot="1" x14ac:dyDescent="0.35">
      <c r="A27" s="2" t="s">
        <v>21</v>
      </c>
      <c r="B27" s="3">
        <v>70000</v>
      </c>
    </row>
    <row r="28" spans="1:9" ht="15" hidden="1" thickBot="1" x14ac:dyDescent="0.35">
      <c r="A28" s="29" t="s">
        <v>22</v>
      </c>
      <c r="B28" s="3">
        <v>120</v>
      </c>
    </row>
    <row r="29" spans="1:9" x14ac:dyDescent="0.3">
      <c r="A29" s="2" t="s">
        <v>15</v>
      </c>
      <c r="B29" s="23">
        <f>+B26+(B27/B5)</f>
        <v>0.34533396551724138</v>
      </c>
    </row>
    <row r="30" spans="1:9" ht="15" thickBot="1" x14ac:dyDescent="0.35">
      <c r="A30" s="2" t="s">
        <v>16</v>
      </c>
      <c r="B30" s="24">
        <f>(B5-B15-B17)/B5</f>
        <v>0.73431034482758617</v>
      </c>
    </row>
    <row r="31" spans="1:9" ht="15" thickBot="1" x14ac:dyDescent="0.35">
      <c r="A31" s="20" t="s">
        <v>7</v>
      </c>
      <c r="B31" s="25">
        <f>+B5-B15-B17-B25-B27</f>
        <v>112803.15</v>
      </c>
      <c r="C31" s="19"/>
      <c r="D31" s="19"/>
      <c r="E31" s="19"/>
      <c r="F31" s="19"/>
      <c r="G31" s="19"/>
      <c r="H31" s="19"/>
      <c r="I31" s="19"/>
    </row>
    <row r="34" spans="3:10" hidden="1" x14ac:dyDescent="0.3"/>
    <row r="35" spans="3:10" hidden="1" x14ac:dyDescent="0.3">
      <c r="C35" t="e">
        <f>+SUM(#REF!)</f>
        <v>#REF!</v>
      </c>
      <c r="D35" t="e">
        <f>+SUM(#REF!)</f>
        <v>#REF!</v>
      </c>
      <c r="E35" t="e">
        <f>+SUM(#REF!)</f>
        <v>#REF!</v>
      </c>
      <c r="F35" t="e">
        <f>+SUM(#REF!)</f>
        <v>#REF!</v>
      </c>
      <c r="G35" t="e">
        <f>+SUM(#REF!)</f>
        <v>#REF!</v>
      </c>
      <c r="H35" t="e">
        <f>+SUM(#REF!)</f>
        <v>#REF!</v>
      </c>
      <c r="I35" t="e">
        <f>+SUM(#REF!)</f>
        <v>#REF!</v>
      </c>
      <c r="J35" s="31" t="e">
        <f>+SUM(#REF!)</f>
        <v>#REF!</v>
      </c>
    </row>
    <row r="37" spans="3:10" ht="46.5" customHeight="1" x14ac:dyDescent="0.3"/>
  </sheetData>
  <pageMargins left="0.7" right="0.7" top="0.75" bottom="0.75" header="0.3" footer="0.3"/>
  <pageSetup paperSize="9" orientation="landscape" r:id="rId1"/>
  <headerFooter>
    <oddHeader>&amp;RCopyright 
Asnæs &amp; Vangstrup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planlægning</vt:lpstr>
      <vt:lpstr>Realiseret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Ejer</dc:creator>
  <cp:lastModifiedBy>amalie</cp:lastModifiedBy>
  <cp:lastPrinted>2013-09-18T09:42:35Z</cp:lastPrinted>
  <dcterms:created xsi:type="dcterms:W3CDTF">2013-02-21T20:55:39Z</dcterms:created>
  <dcterms:modified xsi:type="dcterms:W3CDTF">2022-11-25T06:54:51Z</dcterms:modified>
</cp:coreProperties>
</file>